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esktop\00 Projects\WEBPAGE\"/>
    </mc:Choice>
  </mc:AlternateContent>
  <xr:revisionPtr revIDLastSave="0" documentId="8_{DE1B722F-371C-4089-914B-B56A24440839}" xr6:coauthVersionLast="47" xr6:coauthVersionMax="47" xr10:uidLastSave="{00000000-0000-0000-0000-000000000000}"/>
  <workbookProtection workbookAlgorithmName="SHA-512" workbookHashValue="EpQGC4fQfZYAz4xJ+WJqGCYaFtV1sQ881Y8BrRE9WjhJXgSsHh9vlZy9iXnalQXP51QKs0Q/PQVuqG1PRkOgvA==" workbookSaltValue="nrgwZv8EE3mNQLRYnZcY6Q==" workbookSpinCount="100000" lockStructure="1"/>
  <bookViews>
    <workbookView xWindow="-120" yWindow="-120" windowWidth="29040" windowHeight="15840" xr2:uid="{D788F0E4-326B-4D0F-AD28-175A3673D214}"/>
  </bookViews>
  <sheets>
    <sheet name="Calculations" sheetId="3" r:id="rId1"/>
    <sheet name="Input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4" i="3" l="1"/>
  <c r="C24" i="3"/>
  <c r="D11" i="2"/>
  <c r="D12" i="2"/>
  <c r="D10" i="2"/>
  <c r="D9" i="2"/>
  <c r="D8" i="2"/>
  <c r="D7" i="2"/>
  <c r="D6" i="2"/>
  <c r="D5" i="2"/>
  <c r="D4" i="2"/>
  <c r="D3" i="2"/>
  <c r="C4" i="3"/>
  <c r="C5" i="3"/>
  <c r="C8" i="3"/>
  <c r="C11" i="3" l="1"/>
  <c r="C19" i="2"/>
  <c r="D19" i="2" s="1"/>
  <c r="C20" i="2"/>
  <c r="D20" i="2" s="1"/>
  <c r="C22" i="2" l="1"/>
  <c r="C21" i="2"/>
  <c r="C18" i="3" l="1"/>
  <c r="D18" i="3"/>
  <c r="C12" i="3"/>
  <c r="N4" i="2" l="1"/>
  <c r="N6" i="2"/>
  <c r="N8" i="2"/>
  <c r="N10" i="2"/>
  <c r="O7" i="2"/>
  <c r="O4" i="2"/>
  <c r="D16" i="3" s="1"/>
  <c r="D17" i="3" s="1"/>
  <c r="O6" i="2"/>
  <c r="O8" i="2"/>
  <c r="O10" i="2"/>
  <c r="O5" i="2"/>
  <c r="O9" i="2"/>
  <c r="N3" i="2"/>
  <c r="N5" i="2"/>
  <c r="N7" i="2"/>
  <c r="N9" i="2"/>
  <c r="P9" i="2" s="1"/>
  <c r="O3" i="2"/>
  <c r="C16" i="3" l="1"/>
  <c r="C17" i="3" s="1"/>
  <c r="Q5" i="2"/>
  <c r="Q11" i="2"/>
  <c r="P7" i="2"/>
  <c r="Q4" i="2"/>
  <c r="P12" i="2"/>
  <c r="P10" i="2"/>
  <c r="Q3" i="2"/>
  <c r="P5" i="2"/>
  <c r="Q6" i="2"/>
  <c r="P4" i="2"/>
  <c r="Q8" i="2"/>
  <c r="P3" i="2"/>
  <c r="Q9" i="2"/>
  <c r="P6" i="2"/>
  <c r="Q7" i="2"/>
  <c r="P8" i="2"/>
  <c r="Q10" i="2"/>
  <c r="Q12" i="2"/>
  <c r="C23" i="3" l="1"/>
  <c r="D23" i="3"/>
  <c r="C19" i="3"/>
  <c r="C20" i="3" s="1"/>
  <c r="C21" i="3" s="1"/>
  <c r="C24" i="2" s="1"/>
  <c r="C22" i="3" s="1"/>
  <c r="D19" i="3"/>
  <c r="D20" i="3" s="1"/>
  <c r="D21" i="3" s="1"/>
  <c r="D24" i="2" s="1"/>
  <c r="D22" i="3" s="1"/>
  <c r="F16" i="2" s="1"/>
  <c r="G26" i="3" l="1"/>
  <c r="F14" i="2"/>
  <c r="J26" i="3"/>
  <c r="E14" i="2"/>
  <c r="E16" i="2"/>
  <c r="G15" i="2"/>
  <c r="G14" i="2" l="1"/>
</calcChain>
</file>

<file path=xl/sharedStrings.xml><?xml version="1.0" encoding="utf-8"?>
<sst xmlns="http://schemas.openxmlformats.org/spreadsheetml/2006/main" count="80" uniqueCount="62">
  <si>
    <r>
      <rPr>
        <b/>
        <sz val="14"/>
        <color theme="1"/>
        <rFont val="Arial"/>
        <family val="2"/>
      </rPr>
      <t xml:space="preserve">Please choose your turbine model from the drop-down list and fill in the numbers of the green cells.
</t>
    </r>
    <r>
      <rPr>
        <sz val="10"/>
        <color theme="1"/>
        <rFont val="Arial"/>
        <family val="2"/>
      </rPr>
      <t>The estimations are based on real numbers we have gathered from our experience. 
For a more accurate and customised estimation, please contact us.</t>
    </r>
  </si>
  <si>
    <t>Turbine Model</t>
  </si>
  <si>
    <t>Select your turbine model</t>
  </si>
  <si>
    <t>ç</t>
  </si>
  <si>
    <r>
      <rPr>
        <b/>
        <sz val="11"/>
        <color theme="1"/>
        <rFont val="Arial"/>
        <family val="2"/>
      </rPr>
      <t>Power</t>
    </r>
    <r>
      <rPr>
        <sz val="11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(kW)</t>
    </r>
  </si>
  <si>
    <t>Main benefit</t>
  </si>
  <si>
    <t>remove</t>
  </si>
  <si>
    <t>Number of wind turbines</t>
  </si>
  <si>
    <r>
      <t>Capacity factor</t>
    </r>
    <r>
      <rPr>
        <sz val="11"/>
        <color theme="0"/>
        <rFont val="Arial"/>
        <family val="2"/>
      </rPr>
      <t xml:space="preserve"> </t>
    </r>
    <r>
      <rPr>
        <sz val="9"/>
        <color theme="0"/>
        <rFont val="Arial"/>
        <family val="2"/>
      </rPr>
      <t>(%)</t>
    </r>
  </si>
  <si>
    <r>
      <t xml:space="preserve">Full load hours </t>
    </r>
    <r>
      <rPr>
        <sz val="9"/>
        <rFont val="Arial"/>
        <family val="2"/>
      </rPr>
      <t>(hours)</t>
    </r>
  </si>
  <si>
    <r>
      <t>Wind park life span</t>
    </r>
    <r>
      <rPr>
        <sz val="9"/>
        <color theme="0"/>
        <rFont val="Arial"/>
        <family val="2"/>
      </rPr>
      <t xml:space="preserve"> (yr) </t>
    </r>
  </si>
  <si>
    <r>
      <t xml:space="preserve">Current wind turbine age </t>
    </r>
    <r>
      <rPr>
        <sz val="9"/>
        <color theme="0"/>
        <rFont val="Arial"/>
        <family val="2"/>
      </rPr>
      <t xml:space="preserve">(yr) </t>
    </r>
  </si>
  <si>
    <r>
      <t xml:space="preserve">Total annual production </t>
    </r>
    <r>
      <rPr>
        <sz val="9"/>
        <rFont val="Arial"/>
        <family val="2"/>
      </rPr>
      <t>(MWh)</t>
    </r>
  </si>
  <si>
    <r>
      <t xml:space="preserve">Turbine yearly production </t>
    </r>
    <r>
      <rPr>
        <sz val="9"/>
        <rFont val="Arial"/>
        <family val="2"/>
      </rPr>
      <t xml:space="preserve">(MWh/turbine) </t>
    </r>
  </si>
  <si>
    <r>
      <t xml:space="preserve">Price per MWh </t>
    </r>
    <r>
      <rPr>
        <sz val="9"/>
        <color theme="0"/>
        <rFont val="Arial"/>
        <family val="2"/>
      </rPr>
      <t xml:space="preserve">(€) </t>
    </r>
  </si>
  <si>
    <t>Improvement Potential</t>
  </si>
  <si>
    <t>Case A</t>
  </si>
  <si>
    <t>Case B</t>
  </si>
  <si>
    <r>
      <t xml:space="preserve">Additional Production </t>
    </r>
    <r>
      <rPr>
        <sz val="9"/>
        <rFont val="Arial"/>
        <family val="2"/>
      </rPr>
      <t>(MWh/yr)</t>
    </r>
  </si>
  <si>
    <r>
      <t>Additional Availability</t>
    </r>
    <r>
      <rPr>
        <sz val="11"/>
        <rFont val="Arial"/>
        <family val="2"/>
      </rPr>
      <t xml:space="preserve"> (h/yr)</t>
    </r>
  </si>
  <si>
    <r>
      <t xml:space="preserve">Reduced Annual Service Costs </t>
    </r>
    <r>
      <rPr>
        <sz val="11"/>
        <rFont val="Arial"/>
        <family val="2"/>
      </rPr>
      <t>(€/yr)</t>
    </r>
  </si>
  <si>
    <r>
      <t xml:space="preserve">Profit improvement after retrofit </t>
    </r>
    <r>
      <rPr>
        <sz val="9"/>
        <rFont val="Arial"/>
        <family val="2"/>
      </rPr>
      <t>(€/yr)</t>
    </r>
  </si>
  <si>
    <r>
      <t xml:space="preserve">Turnover improvement after retrofit </t>
    </r>
    <r>
      <rPr>
        <sz val="8"/>
        <rFont val="Arial"/>
        <family val="2"/>
      </rPr>
      <t>(€/yr/turbine)</t>
    </r>
  </si>
  <si>
    <r>
      <t xml:space="preserve">Payback time </t>
    </r>
    <r>
      <rPr>
        <sz val="9"/>
        <rFont val="Arial"/>
        <family val="2"/>
      </rPr>
      <t>(yr)</t>
    </r>
  </si>
  <si>
    <r>
      <t xml:space="preserve">Extra income until end life of turbines </t>
    </r>
    <r>
      <rPr>
        <sz val="9"/>
        <rFont val="Arial"/>
        <family val="2"/>
      </rPr>
      <t>(€)</t>
    </r>
  </si>
  <si>
    <t>Extra income until end of life of turbines</t>
  </si>
  <si>
    <t>-</t>
  </si>
  <si>
    <t>Turbine model</t>
  </si>
  <si>
    <t>Power (kW)</t>
  </si>
  <si>
    <t>Benefit</t>
  </si>
  <si>
    <t xml:space="preserve">Energy price (€/MWh) </t>
  </si>
  <si>
    <t xml:space="preserve">Solution price per turbine (€/WTG) </t>
  </si>
  <si>
    <t xml:space="preserve">AEP improvement (Power curve) (%) </t>
  </si>
  <si>
    <t>Operation time improvement (h/WTG/year)</t>
  </si>
  <si>
    <r>
      <t>Savings related to VRCC repairs (€/WTG/year)</t>
    </r>
    <r>
      <rPr>
        <b/>
        <sz val="11"/>
        <color rgb="FFFF0000"/>
        <rFont val="Calibri"/>
        <family val="2"/>
        <scheme val="minor"/>
      </rPr>
      <t xml:space="preserve"> </t>
    </r>
  </si>
  <si>
    <r>
      <t>Reduce Annual Service Costs (€/WTG/year)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</si>
  <si>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AEP improvement per turbine (MWh/yr/WTG ) </t>
  </si>
  <si>
    <t>Total turnover improvement after retrofit (€/yr)</t>
  </si>
  <si>
    <t>low limit</t>
  </si>
  <si>
    <t>high limit</t>
  </si>
  <si>
    <t>Vestas V47</t>
  </si>
  <si>
    <t>Great performance without RCC/VRCC</t>
  </si>
  <si>
    <t>Vestas V39-V42-V44</t>
  </si>
  <si>
    <t>Great performance without RCC/VRCC, boosting</t>
  </si>
  <si>
    <t>Vestas V39 (500 kW)</t>
  </si>
  <si>
    <t>great performance without RCC/VRCC</t>
  </si>
  <si>
    <t>Vestas V80</t>
  </si>
  <si>
    <t>Great performance improvement with OEM independence</t>
  </si>
  <si>
    <t>Senvion MM82-MM92</t>
  </si>
  <si>
    <t>Reduced downtimes/better performance</t>
  </si>
  <si>
    <t>Suzlon S64</t>
  </si>
  <si>
    <t>Reduced downtimes</t>
  </si>
  <si>
    <t>Suzlon S88</t>
  </si>
  <si>
    <t>Enercon E70-E82</t>
  </si>
  <si>
    <t>O&amp;M service savings</t>
  </si>
  <si>
    <t>Vestas V25</t>
  </si>
  <si>
    <t>Incomes - High energy price. Ask Sales for Business Case</t>
  </si>
  <si>
    <t>Vestas V27-V29</t>
  </si>
  <si>
    <t>For graph</t>
  </si>
  <si>
    <t>Do not delete</t>
  </si>
  <si>
    <r>
      <t>CO</t>
    </r>
    <r>
      <rPr>
        <b/>
        <vertAlign val="sub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savings </t>
    </r>
    <r>
      <rPr>
        <sz val="9"/>
        <rFont val="Arial"/>
        <family val="2"/>
      </rPr>
      <t>(tCO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/yr)</t>
    </r>
  </si>
  <si>
    <r>
      <t>Total CO</t>
    </r>
    <r>
      <rPr>
        <b/>
        <vertAlign val="sub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savings after retrofit </t>
    </r>
    <r>
      <rPr>
        <sz val="9"/>
        <rFont val="Arial"/>
        <family val="2"/>
      </rPr>
      <t>(tCO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</si>
</sst>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-[$€-2]\ * #,##0.00_-;\-[$€-2]\ * #,##0.00_-;_-[$€-2]\ * &quot;-&quot;??_-;_-@_-"/>
    <numFmt numFmtId="166" formatCode="_-[$€-2]\ * #,##0_-;\-[$€-2]\ * #,##0_-;_-[$€-2]\ 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Wingdings"/>
      <charset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vertAlign val="subscript"/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vertAlign val="subscript"/>
      <sz val="9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sz val="14"/>
      <color theme="1" tint="0.34998626667073579"/>
      <name val="Arial Black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2"/>
      <color theme="1" tint="0.34998626667073579"/>
      <name val="Arial Black"/>
      <family val="2"/>
    </font>
    <font>
      <sz val="11"/>
      <color rgb="FFFF0000"/>
      <name val="Calibri"/>
      <family val="2"/>
      <scheme val="minor"/>
    </font>
    <font>
      <sz val="10"/>
      <color theme="1"/>
      <name val="Arial Unicode MS"/>
    </font>
    <font>
      <b/>
      <sz val="2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A6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0" borderId="0" xfId="0" applyFont="1"/>
    <xf numFmtId="0" fontId="6" fillId="3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1" fontId="11" fillId="3" borderId="1" xfId="0" applyNumberFormat="1" applyFont="1" applyFill="1" applyBorder="1" applyAlignment="1">
      <alignment horizontal="center" vertical="center"/>
    </xf>
    <xf numFmtId="3" fontId="11" fillId="3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center"/>
    </xf>
    <xf numFmtId="1" fontId="11" fillId="4" borderId="1" xfId="0" applyNumberFormat="1" applyFont="1" applyFill="1" applyBorder="1" applyAlignment="1">
      <alignment horizontal="center" vertical="center"/>
    </xf>
    <xf numFmtId="3" fontId="11" fillId="4" borderId="1" xfId="0" applyNumberFormat="1" applyFont="1" applyFill="1" applyBorder="1" applyAlignment="1">
      <alignment horizontal="center" vertical="center"/>
    </xf>
    <xf numFmtId="164" fontId="11" fillId="4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vertical="center"/>
    </xf>
    <xf numFmtId="0" fontId="0" fillId="3" borderId="19" xfId="0" applyFill="1" applyBorder="1"/>
    <xf numFmtId="0" fontId="0" fillId="3" borderId="0" xfId="0" applyFill="1"/>
    <xf numFmtId="0" fontId="0" fillId="3" borderId="20" xfId="0" applyFill="1" applyBorder="1"/>
    <xf numFmtId="165" fontId="21" fillId="3" borderId="19" xfId="0" applyNumberFormat="1" applyFont="1" applyFill="1" applyBorder="1" applyAlignment="1">
      <alignment horizontal="right"/>
    </xf>
    <xf numFmtId="0" fontId="21" fillId="3" borderId="20" xfId="0" applyFont="1" applyFill="1" applyBorder="1" applyAlignment="1">
      <alignment horizontal="left"/>
    </xf>
    <xf numFmtId="0" fontId="0" fillId="3" borderId="21" xfId="0" applyFill="1" applyBorder="1"/>
    <xf numFmtId="0" fontId="0" fillId="3" borderId="4" xfId="0" applyFill="1" applyBorder="1"/>
    <xf numFmtId="0" fontId="0" fillId="3" borderId="22" xfId="0" applyFill="1" applyBorder="1"/>
    <xf numFmtId="166" fontId="22" fillId="3" borderId="0" xfId="0" applyNumberFormat="1" applyFont="1" applyFill="1" applyAlignment="1">
      <alignment horizontal="center"/>
    </xf>
    <xf numFmtId="0" fontId="0" fillId="6" borderId="0" xfId="0" applyFill="1" applyAlignment="1">
      <alignment horizontal="center" vertical="center"/>
    </xf>
    <xf numFmtId="0" fontId="25" fillId="6" borderId="0" xfId="0" applyFont="1" applyFill="1" applyAlignment="1">
      <alignment vertical="center"/>
    </xf>
    <xf numFmtId="0" fontId="0" fillId="7" borderId="0" xfId="0" applyFill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26" fillId="8" borderId="0" xfId="0" applyFont="1" applyFill="1"/>
    <xf numFmtId="0" fontId="17" fillId="5" borderId="3" xfId="0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/>
    </xf>
    <xf numFmtId="3" fontId="12" fillId="4" borderId="1" xfId="0" applyNumberFormat="1" applyFont="1" applyFill="1" applyBorder="1" applyAlignment="1">
      <alignment horizontal="center" vertical="center"/>
    </xf>
    <xf numFmtId="0" fontId="18" fillId="5" borderId="3" xfId="0" applyFont="1" applyFill="1" applyBorder="1" applyAlignment="1" applyProtection="1">
      <alignment horizontal="center" vertical="center"/>
      <protection locked="0"/>
    </xf>
    <xf numFmtId="0" fontId="18" fillId="5" borderId="2" xfId="0" applyFont="1" applyFill="1" applyBorder="1" applyAlignment="1" applyProtection="1">
      <alignment horizontal="center" vertical="center"/>
      <protection locked="0"/>
    </xf>
    <xf numFmtId="166" fontId="22" fillId="3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3" fontId="11" fillId="3" borderId="3" xfId="0" applyNumberFormat="1" applyFont="1" applyFill="1" applyBorder="1" applyAlignment="1">
      <alignment horizontal="center" vertical="center"/>
    </xf>
    <xf numFmtId="3" fontId="11" fillId="3" borderId="2" xfId="0" applyNumberFormat="1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9" fontId="18" fillId="5" borderId="3" xfId="1" applyFont="1" applyFill="1" applyBorder="1" applyAlignment="1" applyProtection="1">
      <alignment horizontal="center" vertical="center"/>
      <protection locked="0"/>
    </xf>
    <xf numFmtId="9" fontId="18" fillId="5" borderId="2" xfId="1" applyFont="1" applyFill="1" applyBorder="1" applyAlignment="1" applyProtection="1">
      <alignment horizontal="center" vertical="center"/>
      <protection locked="0"/>
    </xf>
    <xf numFmtId="3" fontId="11" fillId="4" borderId="3" xfId="0" applyNumberFormat="1" applyFont="1" applyFill="1" applyBorder="1" applyAlignment="1">
      <alignment horizontal="center" vertical="center"/>
    </xf>
    <xf numFmtId="3" fontId="11" fillId="4" borderId="2" xfId="0" applyNumberFormat="1" applyFont="1" applyFill="1" applyBorder="1" applyAlignment="1">
      <alignment horizontal="center" vertical="center"/>
    </xf>
    <xf numFmtId="3" fontId="11" fillId="4" borderId="3" xfId="0" applyNumberFormat="1" applyFont="1" applyFill="1" applyBorder="1" applyAlignment="1">
      <alignment horizontal="center" vertical="center" wrapText="1"/>
    </xf>
    <xf numFmtId="3" fontId="11" fillId="4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/>
    </xf>
    <xf numFmtId="0" fontId="20" fillId="4" borderId="17" xfId="0" applyFont="1" applyFill="1" applyBorder="1" applyAlignment="1">
      <alignment horizontal="center" vertical="center"/>
    </xf>
    <xf numFmtId="0" fontId="20" fillId="4" borderId="18" xfId="0" applyFont="1" applyFill="1" applyBorder="1" applyAlignment="1">
      <alignment horizontal="center" vertical="center"/>
    </xf>
    <xf numFmtId="0" fontId="24" fillId="6" borderId="0" xfId="0" applyFont="1" applyFill="1" applyAlignment="1">
      <alignment horizontal="center" vertic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0" fillId="7" borderId="11" xfId="0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A6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r>
              <a:rPr lang="da-DK" sz="1200">
                <a:latin typeface="Arial Black" panose="020B0A04020102020204" pitchFamily="34" charset="0"/>
              </a:rPr>
              <a:t> Payback time range</a:t>
            </a:r>
          </a:p>
          <a:p>
            <a:pPr>
              <a:defRPr>
                <a:latin typeface="Arial Black" panose="020B0A04020102020204" pitchFamily="34" charset="0"/>
              </a:defRPr>
            </a:pPr>
            <a:r>
              <a:rPr lang="da-DK" sz="800">
                <a:latin typeface="Arial Black" panose="020B0A04020102020204" pitchFamily="34" charset="0"/>
              </a:rPr>
              <a:t>(in years)</a:t>
            </a:r>
          </a:p>
        </c:rich>
      </c:tx>
      <c:layout>
        <c:manualLayout>
          <c:xMode val="edge"/>
          <c:yMode val="edge"/>
          <c:x val="0.25707239995504344"/>
          <c:y val="4.27397499526976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Black" panose="020B0A04020102020204" pitchFamily="34" charset="0"/>
              <a:ea typeface="+mn-ea"/>
              <a:cs typeface="+mn-cs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7.5595013710534509E-2"/>
          <c:y val="0.15707247237110883"/>
          <c:w val="0.85436570428696412"/>
          <c:h val="0.78876926466665886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Calculations!$B$21:$B$22</c15:sqref>
                  </c15:fullRef>
                </c:ext>
              </c:extLst>
              <c:f>Calculations!$B$21</c:f>
              <c:strCache>
                <c:ptCount val="1"/>
                <c:pt idx="0">
                  <c:v>Payback time (yr)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Input!$D$14:$D$15</c15:sqref>
                  </c15:fullRef>
                </c:ext>
              </c:extLst>
              <c:f>Input!$D$14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D3-472F-B985-F95CED627590}"/>
            </c:ext>
          </c:extLst>
        </c:ser>
        <c:ser>
          <c:idx val="1"/>
          <c:order val="1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5D3-472F-B985-F95CED627590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Calculations!$B$21:$B$22</c15:sqref>
                  </c15:fullRef>
                </c:ext>
              </c:extLst>
              <c:f>Calculations!$B$21</c:f>
              <c:strCache>
                <c:ptCount val="1"/>
                <c:pt idx="0">
                  <c:v>Payback time (yr)</c:v>
                </c:pt>
                <c:pt idx="1">
                  <c:v>Extra income until end life of turbines (€)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Input!$E$14</c15:sqref>
                  </c15:fullRef>
                </c:ext>
              </c:extLst>
              <c:f>Input!$E$14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D3-472F-B985-F95CED627590}"/>
            </c:ext>
          </c:extLst>
        </c:ser>
        <c:ser>
          <c:idx val="3"/>
          <c:order val="2"/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Calculations!$B$21:$B$22</c15:sqref>
                  </c15:fullRef>
                </c:ext>
              </c:extLst>
              <c:f>Calculations!$B$21</c:f>
              <c:strCache>
                <c:ptCount val="1"/>
                <c:pt idx="0">
                  <c:v>Payback time (yr)</c:v>
                </c:pt>
                <c:pt idx="1">
                  <c:v>Extra income until end life of turbines (€)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Input!$G$14</c15:sqref>
                  </c15:fullRef>
                </c:ext>
              </c:extLst>
              <c:f>Input!$G$14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D3-472F-B985-F95CED627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7050976"/>
        <c:axId val="517053600"/>
      </c:barChart>
      <c:catAx>
        <c:axId val="51705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17053600"/>
        <c:crosses val="autoZero"/>
        <c:auto val="1"/>
        <c:lblAlgn val="ctr"/>
        <c:lblOffset val="100"/>
        <c:tickLblSkip val="1"/>
        <c:noMultiLvlLbl val="0"/>
      </c:catAx>
      <c:valAx>
        <c:axId val="51705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a-DK"/>
          </a:p>
        </c:txPr>
        <c:crossAx val="517050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2</xdr:row>
      <xdr:rowOff>0</xdr:rowOff>
    </xdr:from>
    <xdr:to>
      <xdr:col>12</xdr:col>
      <xdr:colOff>0</xdr:colOff>
      <xdr:row>21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3E5B99C-4FFE-4E4C-89DD-288338BD1B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157018</xdr:colOff>
      <xdr:row>0</xdr:row>
      <xdr:rowOff>0</xdr:rowOff>
    </xdr:from>
    <xdr:to>
      <xdr:col>11</xdr:col>
      <xdr:colOff>377825</xdr:colOff>
      <xdr:row>1</xdr:row>
      <xdr:rowOff>19050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0B0E61F-EC32-4A05-A4EE-BF6C2BFB3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7293" y="0"/>
          <a:ext cx="935182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4B954-8B30-4FB4-BE48-230A88C4F3D8}">
  <sheetPr codeName="Sheet1"/>
  <dimension ref="A1:L30"/>
  <sheetViews>
    <sheetView showGridLines="0" showRowColHeaders="0" tabSelected="1" topLeftCell="A2" zoomScaleNormal="100" workbookViewId="0">
      <selection activeCell="D23" sqref="D23"/>
    </sheetView>
  </sheetViews>
  <sheetFormatPr defaultRowHeight="15"/>
  <cols>
    <col min="1" max="1" width="11.85546875" customWidth="1"/>
    <col min="2" max="2" width="62" customWidth="1"/>
    <col min="3" max="4" width="13.28515625" bestFit="1" customWidth="1"/>
    <col min="6" max="6" width="5.7109375" customWidth="1"/>
    <col min="8" max="8" width="10.7109375" customWidth="1"/>
    <col min="9" max="9" width="5.7109375" customWidth="1"/>
    <col min="11" max="11" width="10.7109375" customWidth="1"/>
    <col min="12" max="12" width="5.7109375" customWidth="1"/>
  </cols>
  <sheetData>
    <row r="1" spans="1:12" ht="39" customHeight="1"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ht="81" customHeight="1">
      <c r="B2" s="66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ht="22.5" customHeight="1">
      <c r="B3" s="34" t="s">
        <v>1</v>
      </c>
      <c r="C3" s="52" t="s">
        <v>2</v>
      </c>
      <c r="D3" s="53"/>
      <c r="E3" s="24" t="s">
        <v>3</v>
      </c>
    </row>
    <row r="4" spans="1:12" ht="22.5" customHeight="1">
      <c r="B4" s="25" t="s">
        <v>4</v>
      </c>
      <c r="C4" s="56">
        <f>+IF(C3=Input!A11,Input!B11,IF(C3=Input!A12,Input!B12,IF(C3=Input!A5,Input!B5,IF(C3=Input!A4,Input!B4,IF(C3=Input!A3,Input!B3,IF(C3=Input!A6,Input!B6,IF(C3=Input!A8,Input!B8,IF(C3=Input!A9,Input!B9,IF(C3=Input!A7,Input!B7,IF(C3=Input!A10,Input!B10,0))))))))))</f>
        <v>0</v>
      </c>
      <c r="D4" s="57"/>
    </row>
    <row r="5" spans="1:12" ht="37.5" customHeight="1">
      <c r="B5" s="26" t="s">
        <v>5</v>
      </c>
      <c r="C5" s="64" t="str">
        <f>+IF(C3=Input!A11,Input!C11,IF(C3=Input!A12,Input!C12,IF(C3=Input!A5,Input!C5,IF(C3=Input!A4,Input!C4,IF(C3=Input!A3,Input!C3,IF(C3=Input!A6,Input!C6,IF(C3=Input!A8,Input!C8,IF(C3=Input!A9,Input!C9,IF(C3=Input!A7,Input!C7,IF(C3=Input!A10,Input!C10,""))))))))))</f>
        <v/>
      </c>
      <c r="D5" s="65"/>
    </row>
    <row r="6" spans="1:12" ht="22.5" hidden="1" customHeight="1">
      <c r="A6" t="s">
        <v>6</v>
      </c>
      <c r="B6" s="34" t="s">
        <v>7</v>
      </c>
      <c r="C6" s="58">
        <v>1</v>
      </c>
      <c r="D6" s="59"/>
      <c r="E6" s="24" t="s">
        <v>3</v>
      </c>
    </row>
    <row r="7" spans="1:12" ht="22.5" customHeight="1">
      <c r="B7" s="34" t="s">
        <v>8</v>
      </c>
      <c r="C7" s="60"/>
      <c r="D7" s="61"/>
      <c r="E7" s="24" t="s">
        <v>3</v>
      </c>
    </row>
    <row r="8" spans="1:12" ht="22.5" customHeight="1">
      <c r="B8" s="27" t="s">
        <v>9</v>
      </c>
      <c r="C8" s="56">
        <f>8760*C7</f>
        <v>0</v>
      </c>
      <c r="D8" s="57"/>
    </row>
    <row r="9" spans="1:12" ht="22.5" customHeight="1">
      <c r="B9" s="34" t="s">
        <v>10</v>
      </c>
      <c r="C9" s="52"/>
      <c r="D9" s="53"/>
      <c r="E9" s="24" t="s">
        <v>3</v>
      </c>
    </row>
    <row r="10" spans="1:12" ht="22.5" customHeight="1">
      <c r="B10" s="34" t="s">
        <v>11</v>
      </c>
      <c r="C10" s="52"/>
      <c r="D10" s="53"/>
      <c r="E10" s="24" t="s">
        <v>3</v>
      </c>
    </row>
    <row r="11" spans="1:12" ht="22.5" customHeight="1">
      <c r="B11" s="30" t="s">
        <v>12</v>
      </c>
      <c r="C11" s="62">
        <f>+C8*C4*C6/1000</f>
        <v>0</v>
      </c>
      <c r="D11" s="63"/>
    </row>
    <row r="12" spans="1:12" ht="22.5" hidden="1" customHeight="1">
      <c r="B12" s="27" t="s">
        <v>13</v>
      </c>
      <c r="C12" s="56">
        <f>IF(Input!C22="yes",0,+C11/C6)</f>
        <v>0</v>
      </c>
      <c r="D12" s="57"/>
    </row>
    <row r="13" spans="1:12" ht="22.5" customHeight="1">
      <c r="B13" s="34" t="s">
        <v>14</v>
      </c>
      <c r="C13" s="52"/>
      <c r="D13" s="53"/>
      <c r="E13" s="24" t="s">
        <v>3</v>
      </c>
    </row>
    <row r="14" spans="1:12" ht="52.5" customHeight="1"/>
    <row r="15" spans="1:12" ht="22.5" customHeight="1">
      <c r="B15" s="48" t="s">
        <v>15</v>
      </c>
      <c r="C15" s="49" t="s">
        <v>16</v>
      </c>
      <c r="D15" s="50" t="s">
        <v>17</v>
      </c>
    </row>
    <row r="16" spans="1:12" ht="22.5" customHeight="1">
      <c r="B16" s="30" t="s">
        <v>18</v>
      </c>
      <c r="C16" s="31">
        <f>IF(Input!C22="yes",0,IF(C3=Input!A11,Input!N11,IF(C3=Input!A12,Input!N12,IF(C3=Input!A5,Input!N5,IF(C3=Input!A4,Input!N4,IF(C3=Input!A3,Input!N3,IF(C3=Input!A6,Input!N6,IF(C3=Input!A8,Input!N8,IF(C3=Input!A9,Input!N9,IF(C3=Input!A7,Input!N7,IF(C3=Input!A10,Input!N10,0)))))))))))</f>
        <v>0</v>
      </c>
      <c r="D16" s="31">
        <f>IF(Input!C22="yes",0,IF(C3=Input!A11,Input!O11,IF(C3=Input!A12,Input!O12,IF(C3=Input!A5,Input!O5,IF(C3=Input!A4,Input!O4,IF(C3=Input!A3,Input!O3,IF(C3=Input!A6,Input!O6,IF(C3=Input!A8,Input!O8,IF(C3=Input!A9,Input!O9,IF(C3=Input!A7,Input!O7,IF(C3=Input!A10,Input!O10,0)))))))))))</f>
        <v>0</v>
      </c>
    </row>
    <row r="17" spans="2:12" ht="22.5" customHeight="1">
      <c r="B17" s="27" t="s">
        <v>19</v>
      </c>
      <c r="C17" s="28">
        <f>IF(Input!C22="yes",0,IF(C16=0,0,C16*1000/C4))</f>
        <v>0</v>
      </c>
      <c r="D17" s="28">
        <f>IF(Input!C22="yes",0,IF(D16=0,0,D16*1000/C4))</f>
        <v>0</v>
      </c>
    </row>
    <row r="18" spans="2:12" ht="22.5" customHeight="1">
      <c r="B18" s="27" t="s">
        <v>20</v>
      </c>
      <c r="C18" s="28">
        <f>IF(Input!C22="yes",0,IF(C3=Input!A11,Input!L11,IF(C3=Input!A12,Input!L12,IF(C3=Input!A5,Input!L5,IF(C3=Input!A4,Input!L4,IF(C3=Input!A3,Input!L3,IF(C3=Input!A6,Input!L6,IF(C3=Input!A8,Input!L8,IF(C3=Input!A9,Input!L9,IF(C3=Input!A7,Input!L7,IF(C3=Input!A10,Input!L10,0)))))))))))</f>
        <v>0</v>
      </c>
      <c r="D18" s="28">
        <f>IF(Input!C22="yes",0,IF(C3=Input!A11,Input!M11,IF(C3=Input!A12,Input!M12,IF(C3=Input!A5,Input!M5,IF(C3=Input!A4,Input!M4,IF(C3=Input!A3,Input!M3,IF(C3=Input!A6,Input!M6,IF(C3=Input!A8,Input!M8,IF(C3=Input!A9,Input!M9,IF(C3=Input!A7,Input!M7,IF(C3=Input!A10,Input!M10,0)))))))))))</f>
        <v>0</v>
      </c>
    </row>
    <row r="19" spans="2:12" ht="22.5" hidden="1" customHeight="1">
      <c r="B19" s="30" t="s">
        <v>21</v>
      </c>
      <c r="C19" s="51">
        <f>IF(Input!C22="yes",0,IF(C3=Input!A11,Input!P11,IF(C3=Input!A12,Input!P12,IF(C3=Input!A5,Input!P5,IF(C3=Input!A4,Input!P4,IF(C3=Input!A3,Input!P3,IF(C3=Input!A6,Input!P6,IF(C3=Input!A8,Input!P8,IF(C3=Input!A9,Input!P9,IF(C3=Input!A7,Input!P7,IF(C3=Input!A10,Input!P10,0)))))))))))</f>
        <v>0</v>
      </c>
      <c r="D19" s="51">
        <f>IF(Input!C22="yes",0,IF(C3=Input!A11,Input!Q11,IF(C3=Input!A12,Input!Q12,IF(C3=Input!A5,Input!Q5,IF(C3=Input!A4,Input!Q4,IF(C3=Input!A3,Input!Q3,IF(C3=Input!A6,Input!Q6,IF(C3=Input!A8,Input!Q8,IF(C3=Input!A9,Input!Q9,IF(C3=Input!A7,Input!Q7,IF(C3=Input!A10,Input!Q10,0)))))))))))</f>
        <v>0</v>
      </c>
    </row>
    <row r="20" spans="2:12" ht="22.5" customHeight="1">
      <c r="B20" s="27" t="s">
        <v>22</v>
      </c>
      <c r="C20" s="29">
        <f>IF(Input!C22="yes",0,IF(ISBLANK(C6),0,C19/C6))</f>
        <v>0</v>
      </c>
      <c r="D20" s="29">
        <f>IF(Input!C22="yes",0,IF(ISBLANK(C6),0,D19/C6))</f>
        <v>0</v>
      </c>
    </row>
    <row r="21" spans="2:12" ht="22.5" customHeight="1">
      <c r="B21" s="30" t="s">
        <v>23</v>
      </c>
      <c r="C21" s="33">
        <f>IF(Input!C22="yes",0,IF(C8=0,0,IF(C3=Input!A11,Input!E11/Calculations!C20,IF(C3=Input!A12,Input!E12/Calculations!C20,IF(C3=Input!A5,Input!E5/Calculations!C20,IF(C3=Input!A4,Input!E4/Calculations!C20,IF(C3=Input!A3,Input!E3/Calculations!C20,IF(C3=Input!A6,Input!E6/Calculations!C20,IF(C3=Input!A8,Input!E8/Calculations!C20,IF(C3=Input!A9,Input!E9/Calculations!C20,IF(C3=Input!A7,Input!E7/Calculations!C20,IF(C3=Input!A10,Input!E10/Calculations!C20,0))))))))))))</f>
        <v>0</v>
      </c>
      <c r="D21" s="33">
        <f>IF(Input!C22="yes",0,IF(C8=0,0,IF(C3=Input!A11,Input!F11/Calculations!D20,IF(C3=Input!A12,Input!F12/Calculations!D20,IF(C3=Input!A5,Input!F5/Calculations!D20,IF(C3=Input!A4,Input!F4/Calculations!D20,IF(C3=Input!A3,Input!F3/Calculations!D20,IF(C3=Input!A6,Input!F6/Calculations!D20,IF(C3=Input!A8,Input!F8/Calculations!D20,IF(C3=Input!A9,Input!F9/Calculations!D20,IF(C3=Input!A7,Input!F7/Calculations!D20,IF(C3=Input!A10,Input!F10/Calculations!D20,0))))))))))))</f>
        <v>0</v>
      </c>
    </row>
    <row r="22" spans="2:12">
      <c r="B22" s="27" t="s">
        <v>24</v>
      </c>
      <c r="C22" s="29">
        <f>IF(Input!C22="yes",0,IF(Input!C24&gt;0,Input!C24,0))</f>
        <v>0</v>
      </c>
      <c r="D22" s="29">
        <f>IF(Input!C22="yes",0,IF(Input!D24&gt;0,Input!D24,0))</f>
        <v>0</v>
      </c>
    </row>
    <row r="23" spans="2:12" ht="16.5">
      <c r="B23" s="30" t="s">
        <v>60</v>
      </c>
      <c r="C23" s="32">
        <f>IF(Input!C22="yes",0,C16*C6*0.28)</f>
        <v>0</v>
      </c>
      <c r="D23" s="32">
        <f>IF(Input!C22="yes",0,D16*C6*0.28)</f>
        <v>0</v>
      </c>
    </row>
    <row r="24" spans="2:12" ht="30.75" customHeight="1">
      <c r="B24" s="27" t="s">
        <v>61</v>
      </c>
      <c r="C24" s="29">
        <f>+C23*(C9-C10)</f>
        <v>0</v>
      </c>
      <c r="D24" s="29">
        <f>+D23*(C9-C10)</f>
        <v>0</v>
      </c>
      <c r="F24" s="68" t="s">
        <v>25</v>
      </c>
      <c r="G24" s="69"/>
      <c r="H24" s="69"/>
      <c r="I24" s="69"/>
      <c r="J24" s="69"/>
      <c r="K24" s="69"/>
      <c r="L24" s="70"/>
    </row>
    <row r="25" spans="2:12">
      <c r="F25" s="35"/>
      <c r="G25" s="36"/>
      <c r="H25" s="36"/>
      <c r="I25" s="36"/>
      <c r="J25" s="36"/>
      <c r="K25" s="36"/>
      <c r="L25" s="37"/>
    </row>
    <row r="26" spans="2:12" ht="20.25">
      <c r="F26" s="38"/>
      <c r="G26" s="54">
        <f>IF(C8="yes",0,(C9-C10-D21)*D19)</f>
        <v>0</v>
      </c>
      <c r="H26" s="54"/>
      <c r="I26" s="43" t="s">
        <v>26</v>
      </c>
      <c r="J26" s="54" t="str">
        <f>IF(C8=0,"yes",(C9-C10-C21)*C19)</f>
        <v>yes</v>
      </c>
      <c r="K26" s="54"/>
      <c r="L26" s="39"/>
    </row>
    <row r="27" spans="2:12">
      <c r="F27" s="40"/>
      <c r="G27" s="41"/>
      <c r="H27" s="41"/>
      <c r="I27" s="41"/>
      <c r="J27" s="41"/>
      <c r="K27" s="41"/>
      <c r="L27" s="42"/>
    </row>
    <row r="30" spans="2:12" ht="22.5" customHeight="1"/>
  </sheetData>
  <mergeCells count="16">
    <mergeCell ref="C13:D13"/>
    <mergeCell ref="G26:H26"/>
    <mergeCell ref="J26:K26"/>
    <mergeCell ref="B1:L1"/>
    <mergeCell ref="C10:D10"/>
    <mergeCell ref="C3:D3"/>
    <mergeCell ref="C4:D4"/>
    <mergeCell ref="C6:D6"/>
    <mergeCell ref="C7:D7"/>
    <mergeCell ref="C8:D8"/>
    <mergeCell ref="C11:D11"/>
    <mergeCell ref="C12:D12"/>
    <mergeCell ref="C9:D9"/>
    <mergeCell ref="C5:D5"/>
    <mergeCell ref="B2:L2"/>
    <mergeCell ref="F24:L24"/>
  </mergeCells>
  <pageMargins left="0.7" right="0.7" top="0.75" bottom="0.75" header="0.3" footer="0.3"/>
  <pageSetup paperSize="9" fitToWidth="0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01DAC74-CA1E-4369-884B-BF806249D689}">
          <x14:formula1>
            <xm:f>Input!$A$2:$A$12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F3369-C005-438A-98E2-F03CA446BF8B}">
  <sheetPr codeName="Sheet2"/>
  <dimension ref="A1:Q24"/>
  <sheetViews>
    <sheetView workbookViewId="0">
      <selection activeCell="J28" sqref="J28"/>
    </sheetView>
  </sheetViews>
  <sheetFormatPr defaultColWidth="8.7109375" defaultRowHeight="15"/>
  <cols>
    <col min="1" max="1" width="23.28515625" style="1" bestFit="1" customWidth="1"/>
    <col min="2" max="2" width="11" style="1" bestFit="1" customWidth="1"/>
    <col min="3" max="3" width="41.28515625" style="1" customWidth="1"/>
    <col min="4" max="4" width="11" style="1" customWidth="1"/>
    <col min="5" max="6" width="16.85546875" style="1" customWidth="1"/>
    <col min="7" max="8" width="8.7109375" style="1"/>
    <col min="9" max="9" width="16.5703125" style="1" customWidth="1"/>
    <col min="10" max="13" width="8.7109375" style="1"/>
    <col min="14" max="14" width="16.42578125" style="1" bestFit="1" customWidth="1"/>
    <col min="15" max="16384" width="8.7109375" style="1"/>
  </cols>
  <sheetData>
    <row r="1" spans="1:17" s="2" customFormat="1" ht="43.5" customHeight="1">
      <c r="A1" s="15" t="s">
        <v>27</v>
      </c>
      <c r="B1" s="15" t="s">
        <v>28</v>
      </c>
      <c r="C1" s="15" t="s">
        <v>29</v>
      </c>
      <c r="D1" s="14" t="s">
        <v>30</v>
      </c>
      <c r="E1" s="76" t="s">
        <v>31</v>
      </c>
      <c r="F1" s="77"/>
      <c r="G1" s="74" t="s">
        <v>32</v>
      </c>
      <c r="H1" s="75"/>
      <c r="I1" s="10" t="s">
        <v>33</v>
      </c>
      <c r="J1" s="72" t="s">
        <v>34</v>
      </c>
      <c r="K1" s="73"/>
      <c r="L1" s="78" t="s">
        <v>35</v>
      </c>
      <c r="M1" s="78"/>
      <c r="N1" s="72" t="s">
        <v>36</v>
      </c>
      <c r="O1" s="73"/>
      <c r="P1" s="74" t="s">
        <v>37</v>
      </c>
      <c r="Q1" s="75"/>
    </row>
    <row r="2" spans="1:17" s="2" customFormat="1">
      <c r="A2" s="16" t="s">
        <v>2</v>
      </c>
      <c r="B2" s="11"/>
      <c r="C2" s="11"/>
      <c r="D2" s="11"/>
      <c r="E2" s="3" t="s">
        <v>38</v>
      </c>
      <c r="F2" s="4" t="s">
        <v>39</v>
      </c>
      <c r="G2" s="3" t="s">
        <v>38</v>
      </c>
      <c r="H2" s="4" t="s">
        <v>39</v>
      </c>
      <c r="I2" s="11"/>
      <c r="J2" s="3" t="s">
        <v>38</v>
      </c>
      <c r="K2" s="4" t="s">
        <v>39</v>
      </c>
      <c r="L2" s="2" t="s">
        <v>38</v>
      </c>
      <c r="M2" s="2" t="s">
        <v>39</v>
      </c>
      <c r="N2" s="3" t="s">
        <v>38</v>
      </c>
      <c r="O2" s="4" t="s">
        <v>39</v>
      </c>
      <c r="P2" s="3" t="s">
        <v>38</v>
      </c>
      <c r="Q2" s="4" t="s">
        <v>39</v>
      </c>
    </row>
    <row r="3" spans="1:17">
      <c r="A3" s="17" t="s">
        <v>40</v>
      </c>
      <c r="B3" s="12">
        <v>660</v>
      </c>
      <c r="C3" s="12" t="s">
        <v>41</v>
      </c>
      <c r="D3" s="12">
        <f>Calculations!$C$13</f>
        <v>0</v>
      </c>
      <c r="E3" s="5">
        <v>12000</v>
      </c>
      <c r="F3" s="5">
        <v>12000</v>
      </c>
      <c r="G3" s="5">
        <v>4</v>
      </c>
      <c r="H3" s="6">
        <v>2</v>
      </c>
      <c r="I3" s="12">
        <v>25</v>
      </c>
      <c r="J3" s="5"/>
      <c r="K3" s="6"/>
      <c r="L3" s="5">
        <v>3000</v>
      </c>
      <c r="M3" s="6">
        <v>2000</v>
      </c>
      <c r="N3" s="5">
        <f>I3*B3/1000*(100+G3)/100*Calculations!$C$7+G3/100*Calculations!$C$12</f>
        <v>0</v>
      </c>
      <c r="O3" s="6">
        <f>+I3*B3/1000*(100+H3)/100*Calculations!$C$7+H3/100*Calculations!$C$12</f>
        <v>0</v>
      </c>
      <c r="P3" s="5">
        <f>+L3*Calculations!$C$6+J3*Calculations!$C$6+N3*$D$11*Calculations!$C$6</f>
        <v>3000</v>
      </c>
      <c r="Q3" s="6">
        <f>+M3*Calculations!$C$6+K3*Calculations!$C$6+O3*$D$11*Calculations!$C$6</f>
        <v>2000</v>
      </c>
    </row>
    <row r="4" spans="1:17">
      <c r="A4" s="17" t="s">
        <v>42</v>
      </c>
      <c r="B4" s="12">
        <v>600</v>
      </c>
      <c r="C4" s="12" t="s">
        <v>43</v>
      </c>
      <c r="D4" s="12">
        <f>Calculations!$C$13</f>
        <v>0</v>
      </c>
      <c r="E4" s="5">
        <v>12000</v>
      </c>
      <c r="F4" s="5">
        <v>12000</v>
      </c>
      <c r="G4" s="5">
        <v>6</v>
      </c>
      <c r="H4" s="6">
        <v>3</v>
      </c>
      <c r="I4" s="12">
        <v>25</v>
      </c>
      <c r="J4" s="5"/>
      <c r="K4" s="6"/>
      <c r="L4" s="5">
        <v>3000</v>
      </c>
      <c r="M4" s="6">
        <v>1000</v>
      </c>
      <c r="N4" s="5">
        <f>I4*B4/1000*(100+G4)/100*Calculations!$C$7+G4/100*Calculations!$C$12</f>
        <v>0</v>
      </c>
      <c r="O4" s="6">
        <f>+I4*B4/1000*(100+H4)/100*Calculations!$C$7+H4/100*Calculations!$C$12</f>
        <v>0</v>
      </c>
      <c r="P4" s="5">
        <f>+L4*Calculations!$C$6+J4*Calculations!$C$6+N4*$D$11*Calculations!$C$6</f>
        <v>3000</v>
      </c>
      <c r="Q4" s="6">
        <f>+M4*Calculations!$C$6+K4*Calculations!$C$6+O4*$D$11*Calculations!$C$6</f>
        <v>1000</v>
      </c>
    </row>
    <row r="5" spans="1:17">
      <c r="A5" s="17" t="s">
        <v>44</v>
      </c>
      <c r="B5" s="12">
        <v>500</v>
      </c>
      <c r="C5" s="12" t="s">
        <v>45</v>
      </c>
      <c r="D5" s="12">
        <f>Calculations!$C$13</f>
        <v>0</v>
      </c>
      <c r="E5" s="5">
        <v>12000</v>
      </c>
      <c r="F5" s="5">
        <v>12000</v>
      </c>
      <c r="G5" s="5">
        <v>4</v>
      </c>
      <c r="H5" s="6">
        <v>2</v>
      </c>
      <c r="I5" s="12">
        <v>25</v>
      </c>
      <c r="J5" s="5"/>
      <c r="K5" s="6"/>
      <c r="L5" s="5">
        <v>3000</v>
      </c>
      <c r="M5" s="6">
        <v>1000</v>
      </c>
      <c r="N5" s="5">
        <f>I5*B5/1000*(100+G5)/100*Calculations!$C$7+G5/100*Calculations!$C$12</f>
        <v>0</v>
      </c>
      <c r="O5" s="6">
        <f>+I5*B5/1000*(100+H5)/100*Calculations!$C$7+H5/100*Calculations!$C$12</f>
        <v>0</v>
      </c>
      <c r="P5" s="5">
        <f>+L5*Calculations!$C$6+J5*Calculations!$C$6+N5*$D$11*Calculations!$C$6</f>
        <v>3000</v>
      </c>
      <c r="Q5" s="6">
        <f>+M5*Calculations!$C$6+K5*Calculations!$C$6+O5*$D$11*Calculations!$C$6</f>
        <v>1000</v>
      </c>
    </row>
    <row r="6" spans="1:17">
      <c r="A6" s="17" t="s">
        <v>46</v>
      </c>
      <c r="B6" s="12">
        <v>2000</v>
      </c>
      <c r="C6" s="12" t="s">
        <v>47</v>
      </c>
      <c r="D6" s="12">
        <f>Calculations!$C$13</f>
        <v>0</v>
      </c>
      <c r="E6" s="5">
        <v>25000</v>
      </c>
      <c r="F6" s="5">
        <v>25000</v>
      </c>
      <c r="G6" s="5">
        <v>2</v>
      </c>
      <c r="H6" s="6">
        <v>0.75</v>
      </c>
      <c r="I6" s="12">
        <v>30</v>
      </c>
      <c r="J6" s="5">
        <v>0</v>
      </c>
      <c r="K6" s="6">
        <v>0</v>
      </c>
      <c r="L6" s="1">
        <v>3000</v>
      </c>
      <c r="M6" s="1">
        <v>1000</v>
      </c>
      <c r="N6" s="5">
        <f>I6*B6/1000*(100+G6)/100*Calculations!$C$7+G6/100*Calculations!$C$12</f>
        <v>0</v>
      </c>
      <c r="O6" s="6">
        <f>+I6*B6/1000*(100+H6)/100*Calculations!$C$7+H6/100*Calculations!$C$12</f>
        <v>0</v>
      </c>
      <c r="P6" s="5">
        <f>+L6*Calculations!$C$6+J6*Calculations!$C$6+N6*$D$11*Calculations!$C$6</f>
        <v>3000</v>
      </c>
      <c r="Q6" s="6">
        <f>+M6*Calculations!$C$6+K6*Calculations!$C$6+O6*$D$11*Calculations!$C$6</f>
        <v>1000</v>
      </c>
    </row>
    <row r="7" spans="1:17" s="23" customFormat="1">
      <c r="A7" s="19" t="s">
        <v>48</v>
      </c>
      <c r="B7" s="20">
        <v>2050</v>
      </c>
      <c r="C7" s="12" t="s">
        <v>49</v>
      </c>
      <c r="D7" s="12">
        <f>Calculations!$C$13</f>
        <v>0</v>
      </c>
      <c r="E7" s="21">
        <v>11500</v>
      </c>
      <c r="F7" s="22">
        <v>11500</v>
      </c>
      <c r="G7" s="21">
        <v>2</v>
      </c>
      <c r="H7" s="22">
        <v>0.75</v>
      </c>
      <c r="I7" s="20">
        <v>20</v>
      </c>
      <c r="J7" s="21">
        <v>0</v>
      </c>
      <c r="K7" s="22">
        <v>0</v>
      </c>
      <c r="L7" s="23">
        <v>3000</v>
      </c>
      <c r="M7" s="23">
        <v>1000</v>
      </c>
      <c r="N7" s="5">
        <f>I7*B7/1000*(100+G7)/100*Calculations!$C$7+G7/100*Calculations!$C$12</f>
        <v>0</v>
      </c>
      <c r="O7" s="6">
        <f>+I7*B7/1000*(100+H7)/100*Calculations!$C$7+H7/100*Calculations!$C$12</f>
        <v>0</v>
      </c>
      <c r="P7" s="21">
        <f>+L7*Calculations!$C$6+J7*Calculations!$C$6+N7*$D$11*Calculations!$C$6</f>
        <v>3000</v>
      </c>
      <c r="Q7" s="22">
        <f>+M7*Calculations!$C$6+K7*Calculations!$C$6+O7*$D$11*Calculations!$C$6</f>
        <v>1000</v>
      </c>
    </row>
    <row r="8" spans="1:17">
      <c r="A8" s="17" t="s">
        <v>50</v>
      </c>
      <c r="B8" s="12">
        <v>1250</v>
      </c>
      <c r="C8" s="12" t="s">
        <v>51</v>
      </c>
      <c r="D8" s="12">
        <f>Calculations!$C$13</f>
        <v>0</v>
      </c>
      <c r="E8" s="5">
        <v>11500</v>
      </c>
      <c r="F8" s="5">
        <v>11500</v>
      </c>
      <c r="G8" s="5">
        <v>4</v>
      </c>
      <c r="H8" s="6">
        <v>1</v>
      </c>
      <c r="I8" s="12">
        <v>50</v>
      </c>
      <c r="J8" s="5">
        <v>0</v>
      </c>
      <c r="K8" s="6">
        <v>0</v>
      </c>
      <c r="L8" s="1">
        <v>3000</v>
      </c>
      <c r="M8" s="1">
        <v>1000</v>
      </c>
      <c r="N8" s="5">
        <f>I8*B8/1000*(100+G8)/100*Calculations!$C$7+G8/100*Calculations!$C$12</f>
        <v>0</v>
      </c>
      <c r="O8" s="6">
        <f>+I8*B8/1000*(100+H8)/100*Calculations!$C$7+H8/100*Calculations!$C$12</f>
        <v>0</v>
      </c>
      <c r="P8" s="5">
        <f>+L8*Calculations!$C$6+J8*Calculations!$C$6+N8*$D$11*Calculations!$C$6</f>
        <v>3000</v>
      </c>
      <c r="Q8" s="6">
        <f>+M8*Calculations!$C$6+K8*Calculations!$C$6+O8*$D$11*Calculations!$C$6</f>
        <v>1000</v>
      </c>
    </row>
    <row r="9" spans="1:17">
      <c r="A9" s="17" t="s">
        <v>52</v>
      </c>
      <c r="B9" s="12">
        <v>2100</v>
      </c>
      <c r="C9" s="12" t="s">
        <v>51</v>
      </c>
      <c r="D9" s="12">
        <f>Calculations!$C$13</f>
        <v>0</v>
      </c>
      <c r="E9" s="5">
        <v>11500</v>
      </c>
      <c r="F9" s="5">
        <v>11500</v>
      </c>
      <c r="G9" s="5">
        <v>3</v>
      </c>
      <c r="H9" s="6">
        <v>1</v>
      </c>
      <c r="I9" s="12">
        <v>50</v>
      </c>
      <c r="J9" s="5">
        <v>0</v>
      </c>
      <c r="K9" s="6">
        <v>0</v>
      </c>
      <c r="L9" s="1">
        <v>3000</v>
      </c>
      <c r="M9" s="1">
        <v>1000</v>
      </c>
      <c r="N9" s="5">
        <f>I9*B9/1000*(100+G9)/100*Calculations!$C$7+G9/100*Calculations!$C$12</f>
        <v>0</v>
      </c>
      <c r="O9" s="6">
        <f>+I9*B9/1000*(100+H9)/100*Calculations!$C$7+H9/100*Calculations!$C$12</f>
        <v>0</v>
      </c>
      <c r="P9" s="5">
        <f>+L9*Calculations!$C$6+J9*Calculations!$C$6+N9*$D$11*Calculations!$C$6</f>
        <v>3000</v>
      </c>
      <c r="Q9" s="6">
        <f>+M9*Calculations!$C$6+K9*Calculations!$C$6+O9*$D$11*Calculations!$C$6</f>
        <v>1000</v>
      </c>
    </row>
    <row r="10" spans="1:17" ht="15.75" thickBot="1">
      <c r="A10" s="18" t="s">
        <v>53</v>
      </c>
      <c r="B10" s="13">
        <v>2000</v>
      </c>
      <c r="C10" s="13" t="s">
        <v>54</v>
      </c>
      <c r="D10" s="12">
        <f>Calculations!$C$13</f>
        <v>0</v>
      </c>
      <c r="E10" s="7">
        <v>90000</v>
      </c>
      <c r="F10" s="8">
        <v>100000</v>
      </c>
      <c r="G10" s="7">
        <v>4</v>
      </c>
      <c r="H10" s="8">
        <v>1</v>
      </c>
      <c r="I10" s="13">
        <v>75</v>
      </c>
      <c r="J10" s="7">
        <v>0</v>
      </c>
      <c r="K10" s="8">
        <v>0</v>
      </c>
      <c r="L10" s="9">
        <v>35000</v>
      </c>
      <c r="M10" s="9">
        <v>10000</v>
      </c>
      <c r="N10" s="5">
        <f>I10*B10/1000*(100+G10)/100*Calculations!$C$7+G10/100*Calculations!$C$12</f>
        <v>0</v>
      </c>
      <c r="O10" s="6">
        <f>+I10*B10/1000*(100+H10)/100*Calculations!$C$7+H10/100*Calculations!$C$12</f>
        <v>0</v>
      </c>
      <c r="P10" s="7">
        <f>+L10*Calculations!$C$6+J10*Calculations!$C$6+N10*$D$11*Calculations!$C$6</f>
        <v>35000</v>
      </c>
      <c r="Q10" s="8">
        <f>+M10*Calculations!$C$6+K10*Calculations!$C$6+O10*$D$11*Calculations!$C$6</f>
        <v>10000</v>
      </c>
    </row>
    <row r="11" spans="1:17">
      <c r="A11" s="17" t="s">
        <v>55</v>
      </c>
      <c r="B11" s="12">
        <v>200</v>
      </c>
      <c r="C11" s="12" t="s">
        <v>56</v>
      </c>
      <c r="D11" s="12">
        <f>Calculations!$C$13</f>
        <v>0</v>
      </c>
      <c r="E11" s="5">
        <v>0</v>
      </c>
      <c r="F11" s="6">
        <v>0</v>
      </c>
      <c r="G11" s="5">
        <v>2</v>
      </c>
      <c r="H11" s="6">
        <v>0.25</v>
      </c>
      <c r="I11" s="12">
        <v>80</v>
      </c>
      <c r="J11" s="5">
        <v>0</v>
      </c>
      <c r="K11" s="6">
        <v>0</v>
      </c>
      <c r="L11" s="1">
        <v>0</v>
      </c>
      <c r="M11" s="1">
        <v>0</v>
      </c>
      <c r="N11" s="5">
        <v>0</v>
      </c>
      <c r="O11" s="6">
        <v>0</v>
      </c>
      <c r="P11" s="5">
        <v>0</v>
      </c>
      <c r="Q11" s="6">
        <f>+M11*Calculations!$C$6+K11*Calculations!$C$6+O11*$D$11*Calculations!$C$6</f>
        <v>0</v>
      </c>
    </row>
    <row r="12" spans="1:17" ht="15.75" thickBot="1">
      <c r="A12" s="17" t="s">
        <v>57</v>
      </c>
      <c r="B12" s="12">
        <v>225</v>
      </c>
      <c r="C12" s="12" t="s">
        <v>56</v>
      </c>
      <c r="D12" s="12">
        <f>Calculations!$C$13</f>
        <v>0</v>
      </c>
      <c r="E12" s="5">
        <v>0</v>
      </c>
      <c r="F12" s="6">
        <v>0</v>
      </c>
      <c r="G12" s="5">
        <v>2</v>
      </c>
      <c r="H12" s="6">
        <v>0.25</v>
      </c>
      <c r="I12" s="12">
        <v>80</v>
      </c>
      <c r="J12" s="5">
        <v>0</v>
      </c>
      <c r="K12" s="6">
        <v>0</v>
      </c>
      <c r="L12" s="1">
        <v>0</v>
      </c>
      <c r="M12" s="1">
        <v>0</v>
      </c>
      <c r="N12" s="5">
        <v>0</v>
      </c>
      <c r="O12" s="6">
        <v>0</v>
      </c>
      <c r="P12" s="5">
        <f>+L12*Calculations!$C$6+J12*Calculations!$C$6+N12*$D$11*Calculations!$C$6</f>
        <v>0</v>
      </c>
      <c r="Q12" s="6">
        <f>+M12*Calculations!$C$6+K12*Calculations!$C$6+O12*$D$11*Calculations!$C$6</f>
        <v>0</v>
      </c>
    </row>
    <row r="13" spans="1:17">
      <c r="A13" s="46"/>
      <c r="B13" s="47"/>
      <c r="C13" s="47"/>
      <c r="D13" s="47"/>
      <c r="E13" s="47"/>
      <c r="F13" s="46"/>
      <c r="G13" s="79"/>
      <c r="H13" s="79"/>
      <c r="I13" s="46"/>
      <c r="J13" s="79"/>
      <c r="K13" s="79"/>
      <c r="L13" s="79"/>
      <c r="M13" s="79"/>
      <c r="N13" s="47"/>
      <c r="O13" s="47"/>
      <c r="P13" s="47"/>
      <c r="Q13" s="47"/>
    </row>
    <row r="14" spans="1:17">
      <c r="D14" s="1" t="s">
        <v>58</v>
      </c>
      <c r="E14" s="1">
        <f>+Calculations!$C$21</f>
        <v>0</v>
      </c>
      <c r="F14" s="1">
        <f>+Calculations!$D$21</f>
        <v>0</v>
      </c>
      <c r="G14" s="1">
        <f>+F14-E14</f>
        <v>0</v>
      </c>
    </row>
    <row r="15" spans="1:17">
      <c r="E15" s="1">
        <v>3</v>
      </c>
      <c r="F15" s="1">
        <v>5</v>
      </c>
      <c r="G15" s="1">
        <f>+F15-E15</f>
        <v>2</v>
      </c>
    </row>
    <row r="16" spans="1:17">
      <c r="E16" s="1">
        <f>+Calculations!$C$22</f>
        <v>0</v>
      </c>
      <c r="F16" s="1">
        <f>+Calculations!$D$22</f>
        <v>0</v>
      </c>
    </row>
    <row r="18" spans="3:4">
      <c r="C18" s="71" t="s">
        <v>59</v>
      </c>
      <c r="D18" s="71"/>
    </row>
    <row r="19" spans="3:4">
      <c r="C19" s="44">
        <f>+COUNTBLANK(Calculations!C6:D7)</f>
        <v>3</v>
      </c>
      <c r="D19" s="44" t="str">
        <f>+IF(C19&gt;2,"yes","no")</f>
        <v>yes</v>
      </c>
    </row>
    <row r="20" spans="3:4">
      <c r="C20" s="44">
        <f>+COUNTBLANK(Calculations!C9:D10)</f>
        <v>4</v>
      </c>
      <c r="D20" s="44" t="str">
        <f>+IF(C20&gt;2,"yes","no")</f>
        <v>yes</v>
      </c>
    </row>
    <row r="21" spans="3:4">
      <c r="C21" s="44">
        <f>+SUM(C19:C20)</f>
        <v>7</v>
      </c>
      <c r="D21" s="44"/>
    </row>
    <row r="22" spans="3:4">
      <c r="C22" s="44" t="str">
        <f>+IF(AND(D19="no",D20="no"),"no","yes")</f>
        <v>yes</v>
      </c>
      <c r="D22" s="44"/>
    </row>
    <row r="24" spans="3:4">
      <c r="C24" s="44">
        <f>IF(Input!C22="yes",0,(Calculations!C9-Calculations!C10-Calculations!C21)*Calculations!C19)</f>
        <v>0</v>
      </c>
      <c r="D24" s="45">
        <f>IF(Input!C22="yes",0,(Calculations!C9-Calculations!C10-Calculations!D21)*Calculations!D19)</f>
        <v>0</v>
      </c>
    </row>
  </sheetData>
  <mergeCells count="10">
    <mergeCell ref="C18:D18"/>
    <mergeCell ref="N1:O1"/>
    <mergeCell ref="P1:Q1"/>
    <mergeCell ref="E1:F1"/>
    <mergeCell ref="G1:H1"/>
    <mergeCell ref="J1:K1"/>
    <mergeCell ref="L1:M1"/>
    <mergeCell ref="G13:H13"/>
    <mergeCell ref="J13:K13"/>
    <mergeCell ref="L13:M1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DC314AF28D9F47A2B93C2C135E5B74" ma:contentTypeVersion="8" ma:contentTypeDescription="Opret et nyt dokument." ma:contentTypeScope="" ma:versionID="12ae857b4fd3b2a5d23a740c0fae8609">
  <xsd:schema xmlns:xsd="http://www.w3.org/2001/XMLSchema" xmlns:xs="http://www.w3.org/2001/XMLSchema" xmlns:p="http://schemas.microsoft.com/office/2006/metadata/properties" xmlns:ns2="097dba95-6318-4a53-9b59-74dc79bc4b40" targetNamespace="http://schemas.microsoft.com/office/2006/metadata/properties" ma:root="true" ma:fieldsID="58f57127d40de9ebd971d2034ef9cdb7" ns2:_="">
    <xsd:import namespace="097dba95-6318-4a53-9b59-74dc79bc4b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7dba95-6318-4a53-9b59-74dc79bc4b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0B18E6-EC49-413D-AC6C-42A42533ED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7dba95-6318-4a53-9b59-74dc79bc4b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F001794-A46B-46A2-9CFD-680B562F319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932286A-3C0D-4163-81A9-2D5D898FF6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Calculations</vt:lpstr>
      <vt:lpstr>Input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Manuel Alonso Huerta</dc:creator>
  <cp:keywords/>
  <dc:description/>
  <cp:lastModifiedBy>Jose Manuel Alonso Huerta</cp:lastModifiedBy>
  <cp:revision/>
  <dcterms:created xsi:type="dcterms:W3CDTF">2022-07-26T09:31:28Z</dcterms:created>
  <dcterms:modified xsi:type="dcterms:W3CDTF">2023-09-13T04:38:17Z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0x0101005ADC314AF28D9F47A2B93C2C135E5B74</vt:lpwstr>
  </property>
</Properties>
</file>